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F1B" lockStructure="1" lockWindows="1"/>
  <bookViews>
    <workbookView xWindow="120" yWindow="165" windowWidth="20730" windowHeight="1099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D7" i="1" l="1"/>
  <c r="D126" i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D122" i="1"/>
  <c r="D117" i="1"/>
  <c r="D116" i="1"/>
  <c r="D115" i="1"/>
  <c r="D99" i="1"/>
  <c r="D94" i="1"/>
  <c r="D86" i="1"/>
  <c r="D123" i="1"/>
  <c r="D95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<sst xmlns="http://schemas.openxmlformats.org/spreadsheetml/2006/main" count="175" uniqueCount="164">
  <si>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</si>
  <si>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</si>
  <si>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</si>
  <si>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</si>
  <si>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</si>
  <si>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</si>
  <si>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</si>
  <si>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</si>
  <si>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</si>
  <si>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</si>
  <si>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</si>
  <si>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Clearing Accout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</si>
  <si>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</si>
  <si>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</si>
  <si>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</si>
  <si>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</si>
  <si>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</si>
  <si>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</si>
  <si>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</si>
  <si>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</si>
  <si>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</si>
  <si>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</si>
  <si>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</si>
  <si>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</si>
  <si>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</si>
  <si>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</si>
  <si>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</si>
  <si>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</si>
  <si>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</si>
  <si>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</si>
  <si>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</si>
  <si>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</si>
  <si>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</si>
  <si>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</si>
  <si>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</si>
  <si>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</si>
  <si>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Chaperions for Trips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</si>
  <si>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</si>
  <si>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</si>
  <si>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</si>
  <si>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</si>
  <si>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</si>
  <si>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</si>
  <si>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</si>
  <si>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</si>
  <si>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</si>
  <si>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</si>
  <si>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</si>
  <si>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</si>
  <si>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</si>
  <si>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</si>
  <si>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</si>
  <si>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</si>
  <si>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</si>
  <si>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Adveristing-Media (Newspaper)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</si>
  <si>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</si>
  <si>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</si>
  <si>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</si>
  <si>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</si>
  <si>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</si>
  <si>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</si>
  <si>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</si>
  <si>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</si>
  <si>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</si>
  <si>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</si>
  <si>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</si>
  <si>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</si>
  <si>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</si>
  <si>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</si>
  <si>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</si>
  <si>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</si>
  <si>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</si>
  <si>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</si>
  <si>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</si>
  <si>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</si>
  <si>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</si>
  <si>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</si>
  <si>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</si>
  <si>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</si>
  <si>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</si>
  <si>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</si>
  <si>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</si>
  <si>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</si>
  <si>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</si>
  <si>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</si>
  <si>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</si>
  <si>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</si>
  <si>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</si>
  <si>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</si>
  <si>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</si>
  <si>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</si>
  <si>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</si>
  <si>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</si>
  <si>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</si>
  <si>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</si>
  <si>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</si>
  <si>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</si>
  <si>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</si>
  <si>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</si>
  <si>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</si>
  <si>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</si>
  <si>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</si>
  <si>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</si>
  <si>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</si>
  <si>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</si>
  <si>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</si>
  <si>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</si>
  <si>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</si>
  <si>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</si>
  <si>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</si>
  <si>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</si>
  <si>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</si>
  <si>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</si>
  <si>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</si>
  <si>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</si>
  <si>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</si>
  <si>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</si>
  <si>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</si>
  <si>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</si>
  <si>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</si>
  <si>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</si>
  <si>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</si>
  <si>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</si>
  <si>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</si>
  <si>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</si>
  <si>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</si>
  <si>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</si>
  <si>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</si>
  <si>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</si>
  <si>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</si>
  <si>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</si>
  <si>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</si>
  <si>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</si>
  <si>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</si>
  <si>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</si>
  <si>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</si>
  <si>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</si>
  <si>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</si>
  <si>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Chrurch Membership</t>
  </si>
  <si>
    <t>Church Membership Activies</t>
  </si>
  <si>
    <t>Total Church Membership</t>
  </si>
  <si>
    <t>Sunday Coffee</t>
  </si>
  <si>
    <t>Proposed Budget - Submitted by the Finance Committee (12/1/11)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</si>
  <si>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</si>
  <si>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</si>
  <si>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</si>
  <si>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</si>
  <si>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</si>
  <si>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</si>
  <si>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Stay with $2,600 Housing Allowance</t>
  </si>
  <si>
    <t>ELCA Average</t>
  </si>
  <si>
    <t>Hold at 10%</t>
  </si>
  <si>
    <t>4% increase in salary (greater hours per week to reflect current trend)</t>
  </si>
  <si>
    <t>Increase all to John as other custodian is new</t>
  </si>
  <si>
    <t>Increase announced</t>
  </si>
  <si>
    <t>Expect Increase</t>
  </si>
  <si>
    <t>Requested $20,000</t>
  </si>
  <si>
    <t>Benevolence</t>
  </si>
  <si>
    <t>10% Benevolence</t>
  </si>
  <si>
    <t>Per Cheryl</t>
  </si>
  <si>
    <t>Per Cheryl:  ELC Board of Pensions</t>
  </si>
  <si>
    <t>Current Rate - new hire</t>
  </si>
  <si>
    <t>2011 had 2 people;  2012 should only have one</t>
  </si>
  <si>
    <t>Increased by donors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</si>
</sst>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left" vertical="center" wrapText="1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windowProtection="1" showGridLines="0" tabSelected="1" workbookViewId="0">
      <selection sqref="A1:M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12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12" bestFit="1" customWidth="1"/>
    <col min="13" max="13" width="24.85546875" style="14" customWidth="1"/>
    <col min="14" max="16384" width="9.140625" style="1"/>
  </cols>
  <sheetData>
    <row r="1" spans="1:13" ht="41.25" customHeight="1" x14ac:dyDescent="0.25">
      <c r="A1" s="11" t="s">
        <v>133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0" customHeight="1" x14ac:dyDescent="0.25">
      <c r="A2" s="13" t="s">
        <v>142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 customHeight="1" x14ac:dyDescent="0.25">
      <c r="D3" s="8" t="s">
        <v>128</v>
      </c>
      <c r="E3" s="9"/>
      <c r="F3" s="9"/>
      <c r="G3" s="9"/>
      <c r="H3" s="10"/>
      <c r="J3" s="8" t="s">
        <v>129</v>
      </c>
      <c r="K3" s="9"/>
      <c r="L3" s="10"/>
    </row>
    <row r="4" spans="1:13" s="5" customFormat="1" ht="53.25" customHeight="1" x14ac:dyDescent="0.25">
      <c r="D4" s="2" t="s">
        <v>14</v>
      </c>
      <c r="E4" s="3" t="s">
        <v>130</v>
      </c>
      <c r="F4" s="3" t="s">
        <v>131</v>
      </c>
      <c r="G4" s="3" t="s">
        <v>132</v>
      </c>
      <c r="H4" s="4" t="s">
        <v>127</v>
      </c>
      <c r="J4" s="2" t="s">
        <v>124</v>
      </c>
      <c r="K4" s="3" t="s">
        <v>123</v>
      </c>
      <c r="L4" s="4" t="s">
        <v>126</v>
      </c>
      <c r="M4" s="15" t="s">
        <v>144</v>
      </c>
    </row>
    <row r="5" spans="1:13" s="5" customFormat="1" ht="18.75" x14ac:dyDescent="0.25">
      <c r="A5" s="16" t="s">
        <v>0</v>
      </c>
      <c r="D5" s="17"/>
      <c r="E5" s="18"/>
      <c r="F5" s="18"/>
      <c r="G5" s="18"/>
      <c r="H5" s="18"/>
      <c r="J5" s="18"/>
      <c r="K5" s="18"/>
      <c r="L5" s="18"/>
      <c r="M5" s="19"/>
    </row>
    <row r="6" spans="1:13" x14ac:dyDescent="0.25">
      <c r="A6" s="5" t="s">
        <v>1</v>
      </c>
    </row>
    <row r="7" spans="1:13" x14ac:dyDescent="0.25">
      <c r="B7" s="1" t="s">
        <v>1</v>
      </c>
      <c r="D7" s="6">
        <f>ROUND(565000-(11248*1.1),0)</f>
        <v>552627</v>
      </c>
      <c r="E7" s="6">
        <v>556300</v>
      </c>
      <c r="F7" s="7">
        <f>IF(E7=0,"NA",(+D7-E7)/E7)</f>
        <v>-6.6025525795434118E-3</v>
      </c>
      <c r="G7" s="6">
        <v>542338</v>
      </c>
      <c r="H7" s="7">
        <f t="shared" ref="H7:H13" si="0">IF(G7=0,"NA",(+D7-G7)/G7)</f>
        <v>1.8971563858700663E-2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20" t="s">
        <v>7</v>
      </c>
      <c r="B13" s="20"/>
      <c r="C13" s="20"/>
      <c r="D13" s="20">
        <f>SUM(D7:D12)</f>
        <v>565327</v>
      </c>
      <c r="E13" s="20">
        <f>SUM(E7:E12)</f>
        <v>569000</v>
      </c>
      <c r="F13" s="21">
        <f t="shared" si="2"/>
        <v>-6.4551845342706504E-3</v>
      </c>
      <c r="G13" s="20">
        <f>SUM(G7:G12)</f>
        <v>557375</v>
      </c>
      <c r="H13" s="21">
        <f t="shared" si="0"/>
        <v>1.4266875981161695E-2</v>
      </c>
      <c r="J13" s="20">
        <f>SUM(J7:J12)</f>
        <v>508903.94</v>
      </c>
      <c r="K13" s="20">
        <f>SUM(K7:K12)</f>
        <v>528178.51</v>
      </c>
      <c r="L13" s="21">
        <f t="shared" si="1"/>
        <v>-3.649252976990678E-2</v>
      </c>
    </row>
    <row r="14" spans="1:13" ht="5.25" customHeight="1" x14ac:dyDescent="0.25">
      <c r="F14" s="12"/>
    </row>
    <row r="15" spans="1:13" x14ac:dyDescent="0.25">
      <c r="A15" s="5" t="s">
        <v>8</v>
      </c>
      <c r="F15" s="12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22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13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11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20" t="s">
        <v>12</v>
      </c>
      <c r="B21" s="20"/>
      <c r="C21" s="20"/>
      <c r="D21" s="20">
        <f>SUM(D16:D20)</f>
        <v>10000</v>
      </c>
      <c r="E21" s="20">
        <f>SUM(E16:E20)</f>
        <v>10000</v>
      </c>
      <c r="F21" s="21">
        <f t="shared" si="3"/>
        <v>0</v>
      </c>
      <c r="G21" s="20">
        <f t="shared" ref="G21" si="6">SUM(G16:G20)</f>
        <v>12877</v>
      </c>
      <c r="H21" s="21">
        <f t="shared" si="4"/>
        <v>-0.22342160441096529</v>
      </c>
      <c r="J21" s="20">
        <f t="shared" ref="J21:K21" si="7">SUM(J16:J20)</f>
        <v>24661.940000000002</v>
      </c>
      <c r="K21" s="20">
        <f t="shared" si="7"/>
        <v>9166.6299999999992</v>
      </c>
      <c r="L21" s="21">
        <f t="shared" si="5"/>
        <v>1.6904042161623196</v>
      </c>
    </row>
    <row r="22" spans="1:13" x14ac:dyDescent="0.25">
      <c r="A22" s="20" t="s">
        <v>15</v>
      </c>
      <c r="B22" s="20"/>
      <c r="C22" s="20"/>
      <c r="D22" s="20">
        <f>+D13+D21</f>
        <v>575327</v>
      </c>
      <c r="E22" s="20">
        <f>+E13+E21</f>
        <v>579000</v>
      </c>
      <c r="F22" s="21">
        <f t="shared" si="3"/>
        <v>-6.3436960276338512E-3</v>
      </c>
      <c r="G22" s="20">
        <f t="shared" ref="G22" si="8">+G13+G21</f>
        <v>570252</v>
      </c>
      <c r="H22" s="21">
        <f t="shared" si="4"/>
        <v>8.8995742233258287E-3</v>
      </c>
      <c r="J22" s="20">
        <f t="shared" ref="J22:K22" si="9">+J13+J21</f>
        <v>533565.88</v>
      </c>
      <c r="K22" s="20">
        <f t="shared" si="9"/>
        <v>537345.14</v>
      </c>
      <c r="L22" s="21">
        <f t="shared" si="5"/>
        <v>-7.0332077442814668E-3</v>
      </c>
    </row>
    <row r="23" spans="1:13" ht="6" customHeight="1" x14ac:dyDescent="0.25">
      <c r="F23" s="12"/>
    </row>
    <row r="24" spans="1:13" ht="18.75" x14ac:dyDescent="0.25">
      <c r="A24" s="16" t="s">
        <v>16</v>
      </c>
      <c r="F24" s="12"/>
    </row>
    <row r="25" spans="1:13" ht="18.75" x14ac:dyDescent="0.25">
      <c r="A25" s="16" t="s">
        <v>157</v>
      </c>
      <c r="F25" s="12"/>
    </row>
    <row r="26" spans="1:13" x14ac:dyDescent="0.25">
      <c r="B26" s="1" t="s">
        <v>18</v>
      </c>
      <c r="D26" s="1">
        <f>+D22</f>
        <v>575327</v>
      </c>
      <c r="F26" s="12"/>
    </row>
    <row r="27" spans="1:13" x14ac:dyDescent="0.25">
      <c r="B27" s="1" t="s">
        <v>17</v>
      </c>
      <c r="D27" s="6">
        <v>-54876</v>
      </c>
      <c r="E27" s="6"/>
      <c r="F27" s="12"/>
    </row>
    <row r="28" spans="1:13" x14ac:dyDescent="0.25">
      <c r="B28" s="1" t="s">
        <v>19</v>
      </c>
      <c r="D28" s="6">
        <v>-5000</v>
      </c>
      <c r="E28" s="6"/>
      <c r="F28" s="12"/>
    </row>
    <row r="29" spans="1:13" x14ac:dyDescent="0.25">
      <c r="B29" s="1" t="s">
        <v>20</v>
      </c>
      <c r="D29" s="6">
        <v>-660</v>
      </c>
      <c r="E29" s="6"/>
      <c r="F29" s="12"/>
    </row>
    <row r="30" spans="1:13" x14ac:dyDescent="0.25">
      <c r="B30" s="1" t="s">
        <v>18</v>
      </c>
      <c r="D30" s="1">
        <f>SUM(D26:D29)</f>
        <v>514791</v>
      </c>
      <c r="F30" s="12"/>
    </row>
    <row r="31" spans="1:13" s="5" customFormat="1" x14ac:dyDescent="0.25">
      <c r="A31" s="23"/>
      <c r="B31" s="24" t="s">
        <v>158</v>
      </c>
      <c r="C31" s="23"/>
      <c r="D31" s="23">
        <f>ROUND(+D30*0.1,0)</f>
        <v>51479</v>
      </c>
      <c r="E31" s="25">
        <v>51750</v>
      </c>
      <c r="F31" s="26">
        <f>IF(E31=0,"NA",(+D31-E31)/E31)</f>
        <v>-5.2367149758454105E-3</v>
      </c>
      <c r="G31" s="25">
        <v>51179</v>
      </c>
      <c r="H31" s="26">
        <f>IF(G31=0,"NA",(+D31-G31)/G31)</f>
        <v>5.8617792453936187E-3</v>
      </c>
      <c r="I31" s="23"/>
      <c r="J31" s="25">
        <v>43119.13</v>
      </c>
      <c r="K31" s="25">
        <v>44578.26</v>
      </c>
      <c r="L31" s="26">
        <f>IF(K31=0,"NA",(+J31-K31)/K31)</f>
        <v>-3.2731874236455273E-2</v>
      </c>
      <c r="M31" s="19" t="s">
        <v>151</v>
      </c>
    </row>
    <row r="32" spans="1:13" s="5" customFormat="1" ht="6.75" customHeight="1" x14ac:dyDescent="0.25">
      <c r="A32" s="27"/>
      <c r="B32" s="28"/>
      <c r="C32" s="27"/>
      <c r="D32" s="27"/>
      <c r="E32" s="29"/>
      <c r="F32" s="30"/>
      <c r="G32" s="29"/>
      <c r="H32" s="30"/>
      <c r="I32" s="27"/>
      <c r="J32" s="29"/>
      <c r="K32" s="29"/>
      <c r="L32" s="30"/>
      <c r="M32" s="19"/>
    </row>
    <row r="33" spans="1:13" s="5" customFormat="1" ht="18.75" x14ac:dyDescent="0.25">
      <c r="A33" s="31" t="s">
        <v>95</v>
      </c>
      <c r="B33" s="28"/>
      <c r="C33" s="27"/>
      <c r="D33" s="27"/>
      <c r="E33" s="29"/>
      <c r="F33" s="30"/>
      <c r="G33" s="29"/>
      <c r="H33" s="30"/>
      <c r="I33" s="27"/>
      <c r="J33" s="29"/>
      <c r="K33" s="29"/>
      <c r="L33" s="30"/>
      <c r="M33" s="19"/>
    </row>
    <row r="34" spans="1:13" x14ac:dyDescent="0.25">
      <c r="A34" s="5" t="s">
        <v>21</v>
      </c>
      <c r="F34" s="12"/>
    </row>
    <row r="35" spans="1:13" x14ac:dyDescent="0.25">
      <c r="B35" s="1" t="s">
        <v>125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22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23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24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25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134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32" t="s">
        <v>26</v>
      </c>
      <c r="B41" s="32"/>
      <c r="C41" s="32"/>
      <c r="D41" s="32">
        <f>SUM(D35:D40)</f>
        <v>7200</v>
      </c>
      <c r="E41" s="32">
        <f>SUM(E35:E40)</f>
        <v>8450</v>
      </c>
      <c r="F41" s="33">
        <f t="shared" si="10"/>
        <v>-0.14792899408284024</v>
      </c>
      <c r="G41" s="32">
        <f t="shared" ref="G41" si="13">SUM(G35:G40)</f>
        <v>9302</v>
      </c>
      <c r="H41" s="33">
        <f t="shared" si="11"/>
        <v>-0.2259729090518168</v>
      </c>
      <c r="J41" s="32">
        <f t="shared" ref="J41:K41" si="14">SUM(J35:J40)</f>
        <v>7400.86</v>
      </c>
      <c r="K41" s="32">
        <f t="shared" si="14"/>
        <v>7766.52</v>
      </c>
      <c r="L41" s="33">
        <f t="shared" si="12"/>
        <v>-4.7081575789414146E-2</v>
      </c>
      <c r="M41" s="19"/>
    </row>
    <row r="42" spans="1:13" ht="6" customHeight="1" x14ac:dyDescent="0.25">
      <c r="F42" s="12"/>
    </row>
    <row r="43" spans="1:13" x14ac:dyDescent="0.25">
      <c r="A43" s="32" t="s">
        <v>27</v>
      </c>
      <c r="B43" s="32"/>
      <c r="C43" s="32"/>
      <c r="D43" s="34">
        <v>1100</v>
      </c>
      <c r="E43" s="34">
        <v>2200</v>
      </c>
      <c r="F43" s="33">
        <f>IF(E43=0,"NA",(+D43-E43)/E43)</f>
        <v>-0.5</v>
      </c>
      <c r="G43" s="34">
        <v>0</v>
      </c>
      <c r="H43" s="33" t="str">
        <f>IF(G43=0,"NA",(+D43-G43)/G43)</f>
        <v>NA</v>
      </c>
      <c r="J43" s="34">
        <v>1375.37</v>
      </c>
      <c r="K43" s="34">
        <v>2016.63</v>
      </c>
      <c r="L43" s="33">
        <f>IF(K43=0,"NA",(+J43-K43)/K43)</f>
        <v>-0.31798594685192633</v>
      </c>
    </row>
    <row r="44" spans="1:13" ht="7.5" customHeight="1" x14ac:dyDescent="0.25">
      <c r="F44" s="12"/>
    </row>
    <row r="45" spans="1:13" x14ac:dyDescent="0.25">
      <c r="A45" s="5" t="s">
        <v>28</v>
      </c>
      <c r="F45" s="12"/>
    </row>
    <row r="46" spans="1:13" x14ac:dyDescent="0.25">
      <c r="B46" s="1" t="s">
        <v>30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31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14" t="s">
        <v>146</v>
      </c>
    </row>
    <row r="48" spans="1:13" x14ac:dyDescent="0.25">
      <c r="B48" s="1" t="s">
        <v>32</v>
      </c>
      <c r="D48" s="6">
        <v>750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33</v>
      </c>
      <c r="D49" s="6">
        <v>500</v>
      </c>
      <c r="E49" s="6">
        <v>700</v>
      </c>
      <c r="F49" s="7">
        <f t="shared" si="15"/>
        <v>-0.2857142857142857</v>
      </c>
      <c r="G49" s="6">
        <v>1051</v>
      </c>
      <c r="H49" s="7">
        <f>IF(G49=0,"NA",(+D49-G49)/G49)</f>
        <v>-0.52426260704091343</v>
      </c>
      <c r="J49" s="6">
        <v>1048</v>
      </c>
      <c r="K49" s="6">
        <v>641.63</v>
      </c>
      <c r="L49" s="7">
        <f>IF(K49=0,"NA",(+J49-K49)/K49)</f>
        <v>0.63334008696600841</v>
      </c>
      <c r="M49" s="14" t="s">
        <v>148</v>
      </c>
    </row>
    <row r="50" spans="1:13" s="5" customFormat="1" x14ac:dyDescent="0.25">
      <c r="A50" s="32" t="s">
        <v>29</v>
      </c>
      <c r="B50" s="32"/>
      <c r="C50" s="32"/>
      <c r="D50" s="32">
        <f>SUM(D46:D49)</f>
        <v>7850</v>
      </c>
      <c r="E50" s="32">
        <f>SUM(E46:E49)</f>
        <v>6700</v>
      </c>
      <c r="F50" s="33">
        <f t="shared" si="15"/>
        <v>0.17164179104477612</v>
      </c>
      <c r="G50" s="32">
        <f>SUM(G46:G49)</f>
        <v>8126</v>
      </c>
      <c r="H50" s="33">
        <f>IF(G50=0,"NA",(+D50-G50)/G50)</f>
        <v>-3.3965050455328577E-2</v>
      </c>
      <c r="J50" s="32">
        <f>SUM(J46:J49)</f>
        <v>7482.99</v>
      </c>
      <c r="K50" s="32">
        <f>SUM(K46:K49)</f>
        <v>6141.63</v>
      </c>
      <c r="L50" s="33">
        <f>IF(K50=0,"NA",(+J50-K50)/K50)</f>
        <v>0.21840456035287042</v>
      </c>
      <c r="M50" s="19"/>
    </row>
    <row r="51" spans="1:13" ht="6.75" customHeight="1" x14ac:dyDescent="0.25">
      <c r="F51" s="12"/>
    </row>
    <row r="52" spans="1:13" x14ac:dyDescent="0.25">
      <c r="A52" s="5" t="s">
        <v>34</v>
      </c>
      <c r="F52" s="12"/>
    </row>
    <row r="53" spans="1:13" x14ac:dyDescent="0.25">
      <c r="B53" s="1" t="s">
        <v>35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36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37</v>
      </c>
      <c r="D55" s="6">
        <v>600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14" t="s">
        <v>145</v>
      </c>
    </row>
    <row r="56" spans="1:13" s="5" customFormat="1" x14ac:dyDescent="0.25">
      <c r="A56" s="32" t="s">
        <v>38</v>
      </c>
      <c r="B56" s="32"/>
      <c r="C56" s="32"/>
      <c r="D56" s="32">
        <f>SUM(D53:D55)</f>
        <v>7600</v>
      </c>
      <c r="E56" s="32">
        <f>SUM(E53:E55)</f>
        <v>6000</v>
      </c>
      <c r="F56" s="33">
        <f t="shared" si="16"/>
        <v>0.26666666666666666</v>
      </c>
      <c r="G56" s="32">
        <f>SUM(G53:G55)</f>
        <v>5311</v>
      </c>
      <c r="H56" s="33">
        <f>IF(G56=0,"NA",(+D56-G56)/G56)</f>
        <v>0.43099228017322538</v>
      </c>
      <c r="J56" s="32">
        <f>SUM(J53:J55)</f>
        <v>5453.9</v>
      </c>
      <c r="K56" s="32">
        <f>SUM(K53:K55)</f>
        <v>5500</v>
      </c>
      <c r="L56" s="33">
        <f>IF(K56=0,"NA",(+J56-K56)/K56)</f>
        <v>-8.3818181818182472E-3</v>
      </c>
      <c r="M56" s="19"/>
    </row>
    <row r="57" spans="1:13" ht="6.75" customHeight="1" x14ac:dyDescent="0.25">
      <c r="F57" s="12"/>
    </row>
    <row r="58" spans="1:13" x14ac:dyDescent="0.25">
      <c r="A58" s="5" t="s">
        <v>138</v>
      </c>
      <c r="F58" s="12"/>
    </row>
    <row r="59" spans="1:13" x14ac:dyDescent="0.25">
      <c r="B59" s="1" t="s">
        <v>139</v>
      </c>
      <c r="D59" s="6">
        <v>400</v>
      </c>
      <c r="E59" s="6">
        <v>250</v>
      </c>
      <c r="F59" s="7">
        <f t="shared" ref="F59:F61" si="17">IF(E59=0,"NA",(+D59-E59)/E59)</f>
        <v>0.6</v>
      </c>
      <c r="G59" s="6">
        <v>-366</v>
      </c>
      <c r="H59" s="7">
        <f>IF(G59=0,"NA",(+D59-G59)/G59)</f>
        <v>-2.0928961748633879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141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14" t="s">
        <v>147</v>
      </c>
    </row>
    <row r="61" spans="1:13" s="5" customFormat="1" x14ac:dyDescent="0.25">
      <c r="A61" s="32" t="s">
        <v>140</v>
      </c>
      <c r="B61" s="32"/>
      <c r="C61" s="32"/>
      <c r="D61" s="32">
        <f>SUM(D59:D60)</f>
        <v>900</v>
      </c>
      <c r="E61" s="32">
        <f>SUM(E59:E60)</f>
        <v>250</v>
      </c>
      <c r="F61" s="33">
        <f t="shared" si="17"/>
        <v>2.6</v>
      </c>
      <c r="G61" s="32">
        <f>SUM(G59:G60)</f>
        <v>-366</v>
      </c>
      <c r="H61" s="33">
        <f>IF(G61=0,"NA",(+D61-G61)/G61)</f>
        <v>-3.459016393442623</v>
      </c>
      <c r="J61" s="32">
        <f>SUM(J59:J60)</f>
        <v>70</v>
      </c>
      <c r="K61" s="32">
        <f>SUM(K59:K60)</f>
        <v>229</v>
      </c>
      <c r="L61" s="33">
        <f>IF(K61=0,"NA",(+J61-K61)/K61)</f>
        <v>-0.69432314410480345</v>
      </c>
      <c r="M61" s="19"/>
    </row>
    <row r="62" spans="1:13" ht="5.25" customHeight="1" x14ac:dyDescent="0.25">
      <c r="F62" s="12"/>
    </row>
    <row r="63" spans="1:13" x14ac:dyDescent="0.25">
      <c r="A63" s="32" t="s">
        <v>39</v>
      </c>
      <c r="B63" s="35"/>
      <c r="C63" s="35"/>
      <c r="D63" s="36">
        <v>200</v>
      </c>
      <c r="E63" s="36">
        <v>200</v>
      </c>
      <c r="F63" s="33">
        <f>IF(E63=0,"NA",(+D63-E63)/E63)</f>
        <v>0</v>
      </c>
      <c r="G63" s="36">
        <v>164</v>
      </c>
      <c r="H63" s="33">
        <f>IF(G63=0,"NA",(+D63-G63)/G63)</f>
        <v>0.21951219512195122</v>
      </c>
      <c r="J63" s="36">
        <v>135.97999999999999</v>
      </c>
      <c r="K63" s="36">
        <v>183.37</v>
      </c>
      <c r="L63" s="33">
        <f>IF(K63=0,"NA",(+J63-K63)/K63)</f>
        <v>-0.25843922124665986</v>
      </c>
    </row>
    <row r="64" spans="1:13" ht="6" customHeight="1" x14ac:dyDescent="0.25">
      <c r="F64" s="12"/>
    </row>
    <row r="65" spans="1:13" x14ac:dyDescent="0.25">
      <c r="A65" s="5" t="s">
        <v>40</v>
      </c>
      <c r="F65" s="12"/>
    </row>
    <row r="66" spans="1:13" x14ac:dyDescent="0.25">
      <c r="B66" s="1" t="s">
        <v>41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42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43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44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45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32" t="s">
        <v>46</v>
      </c>
      <c r="B71" s="32"/>
      <c r="C71" s="32"/>
      <c r="D71" s="32">
        <f>SUM(D66:D70)</f>
        <v>3900</v>
      </c>
      <c r="E71" s="32">
        <f>SUM(E66:E70)</f>
        <v>5100</v>
      </c>
      <c r="F71" s="33">
        <f t="shared" si="18"/>
        <v>-0.23529411764705882</v>
      </c>
      <c r="G71" s="32">
        <f>SUM(G66:G70)</f>
        <v>4211</v>
      </c>
      <c r="H71" s="33">
        <f t="shared" si="19"/>
        <v>-7.3854191403467107E-2</v>
      </c>
      <c r="J71" s="32">
        <f>SUM(J66:J70)</f>
        <v>1637</v>
      </c>
      <c r="K71" s="32">
        <f>SUM(K66:K70)</f>
        <v>4758.37</v>
      </c>
      <c r="L71" s="33">
        <f t="shared" si="20"/>
        <v>-0.65597462996782507</v>
      </c>
      <c r="M71" s="19"/>
    </row>
    <row r="72" spans="1:13" ht="6" customHeight="1" x14ac:dyDescent="0.25">
      <c r="F72" s="12"/>
    </row>
    <row r="73" spans="1:13" x14ac:dyDescent="0.25">
      <c r="A73" s="5" t="s">
        <v>47</v>
      </c>
      <c r="F73" s="12"/>
    </row>
    <row r="74" spans="1:13" x14ac:dyDescent="0.25">
      <c r="B74" s="1" t="s">
        <v>48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49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54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50</v>
      </c>
      <c r="D77" s="6">
        <v>400</v>
      </c>
      <c r="E77" s="6">
        <v>2000</v>
      </c>
      <c r="F77" s="7">
        <f t="shared" si="21"/>
        <v>-0.8</v>
      </c>
      <c r="G77" s="6">
        <v>1709</v>
      </c>
      <c r="H77" s="7">
        <f t="shared" si="22"/>
        <v>-0.76594499707431252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51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52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53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32" t="s">
        <v>57</v>
      </c>
      <c r="B81" s="32"/>
      <c r="C81" s="32"/>
      <c r="D81" s="32">
        <f>SUM(D74:D80)</f>
        <v>32400</v>
      </c>
      <c r="E81" s="32">
        <f>SUM(E74:E80)</f>
        <v>38000</v>
      </c>
      <c r="F81" s="33">
        <f t="shared" si="21"/>
        <v>-0.14736842105263157</v>
      </c>
      <c r="G81" s="32">
        <f>SUM(G74:G80)</f>
        <v>37269</v>
      </c>
      <c r="H81" s="33">
        <f t="shared" si="22"/>
        <v>-0.1306447717942526</v>
      </c>
      <c r="J81" s="32">
        <f>SUM(J74:J80)</f>
        <v>32918.39</v>
      </c>
      <c r="K81" s="32">
        <f>SUM(K74:K80)</f>
        <v>34833.149999999994</v>
      </c>
      <c r="L81" s="33">
        <f t="shared" si="23"/>
        <v>-5.496947591590181E-2</v>
      </c>
      <c r="M81" s="19"/>
    </row>
    <row r="82" spans="1:13" x14ac:dyDescent="0.25">
      <c r="A82" s="32" t="s">
        <v>137</v>
      </c>
      <c r="B82" s="37"/>
      <c r="C82" s="37"/>
      <c r="D82" s="32">
        <f>+D41+D43+D50+D56+D63+D71+D81+D61</f>
        <v>61150</v>
      </c>
      <c r="E82" s="32">
        <f>+E41+E43+E50+E56+E63+E71+E81+E61</f>
        <v>66900</v>
      </c>
      <c r="F82" s="33">
        <f t="shared" si="21"/>
        <v>-8.5949177877428992E-2</v>
      </c>
      <c r="G82" s="32">
        <f>+G41+G43+G50+G56+G63+G71+G81+G61</f>
        <v>64017</v>
      </c>
      <c r="H82" s="33">
        <f t="shared" si="22"/>
        <v>-4.4784978989955794E-2</v>
      </c>
      <c r="J82" s="32">
        <f>+J41+J43+J50+J56+J63+J71+J81+J61</f>
        <v>56474.49</v>
      </c>
      <c r="K82" s="32">
        <f>+K41+K43+K50+K56+K63+K71+K81+K61</f>
        <v>61428.67</v>
      </c>
      <c r="L82" s="33">
        <f t="shared" si="23"/>
        <v>-8.0649312446452126E-2</v>
      </c>
    </row>
    <row r="83" spans="1:13" ht="8.25" customHeight="1" x14ac:dyDescent="0.25">
      <c r="F83" s="12"/>
    </row>
    <row r="84" spans="1:13" ht="18.75" x14ac:dyDescent="0.25">
      <c r="A84" s="16" t="s">
        <v>55</v>
      </c>
      <c r="F84" s="12"/>
    </row>
    <row r="85" spans="1:13" x14ac:dyDescent="0.25">
      <c r="A85" s="5" t="s">
        <v>56</v>
      </c>
      <c r="F85" s="12"/>
    </row>
    <row r="86" spans="1:13" ht="30" x14ac:dyDescent="0.25">
      <c r="B86" s="1" t="s">
        <v>58</v>
      </c>
      <c r="D86" s="6">
        <f>+E86*1.02</f>
        <v>91525.62</v>
      </c>
      <c r="E86" s="6">
        <v>89731</v>
      </c>
      <c r="F86" s="7">
        <f t="shared" ref="F86:F91" si="24">IF(E86=0,"NA",(+D86-E86)/E86)</f>
        <v>1.9999999999999948E-2</v>
      </c>
      <c r="G86" s="6">
        <v>87117</v>
      </c>
      <c r="H86" s="7">
        <f t="shared" ref="H86:H91" si="25">IF(G86=0,"NA",(+D86-G86)/G86)</f>
        <v>5.0605737112159453E-2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  <c r="M86" s="14" t="s">
        <v>149</v>
      </c>
    </row>
    <row r="87" spans="1:13" x14ac:dyDescent="0.25">
      <c r="B87" s="1" t="s">
        <v>59</v>
      </c>
      <c r="D87" s="6">
        <v>3000</v>
      </c>
      <c r="E87" s="6">
        <v>5500</v>
      </c>
      <c r="F87" s="7">
        <f t="shared" si="24"/>
        <v>-0.45454545454545453</v>
      </c>
      <c r="G87" s="6">
        <v>5500</v>
      </c>
      <c r="H87" s="7">
        <f t="shared" si="25"/>
        <v>-0.45454545454545453</v>
      </c>
      <c r="J87" s="6">
        <v>5041.63</v>
      </c>
      <c r="K87" s="6">
        <v>5041.63</v>
      </c>
      <c r="L87" s="7">
        <f t="shared" si="26"/>
        <v>0</v>
      </c>
    </row>
    <row r="88" spans="1:13" ht="30" x14ac:dyDescent="0.25">
      <c r="B88" s="1" t="s">
        <v>60</v>
      </c>
      <c r="D88" s="6">
        <v>34531</v>
      </c>
      <c r="E88" s="6">
        <v>34603</v>
      </c>
      <c r="F88" s="7">
        <f t="shared" si="24"/>
        <v>-2.0807444441233421E-3</v>
      </c>
      <c r="G88" s="6">
        <v>33221</v>
      </c>
      <c r="H88" s="7">
        <f t="shared" si="25"/>
        <v>3.9432888835375213E-2</v>
      </c>
      <c r="J88" s="6">
        <v>31381.95</v>
      </c>
      <c r="K88" s="6">
        <v>31719.38</v>
      </c>
      <c r="L88" s="7">
        <f t="shared" si="26"/>
        <v>-1.0637975899907257E-2</v>
      </c>
      <c r="M88" s="14" t="s">
        <v>160</v>
      </c>
    </row>
    <row r="89" spans="1:13" x14ac:dyDescent="0.25">
      <c r="B89" s="1" t="s">
        <v>61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62</v>
      </c>
      <c r="D90" s="6">
        <v>2000</v>
      </c>
      <c r="E90" s="6">
        <v>3000</v>
      </c>
      <c r="F90" s="7">
        <f t="shared" si="24"/>
        <v>-0.33333333333333331</v>
      </c>
      <c r="G90" s="6">
        <v>1180</v>
      </c>
      <c r="H90" s="7">
        <f t="shared" si="25"/>
        <v>0.69491525423728817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8" t="s">
        <v>63</v>
      </c>
      <c r="B91" s="38"/>
      <c r="C91" s="38"/>
      <c r="D91" s="38">
        <f>SUM(D86:D90)</f>
        <v>135056.62</v>
      </c>
      <c r="E91" s="38">
        <f>SUM(E86:E90)</f>
        <v>136834</v>
      </c>
      <c r="F91" s="39">
        <f t="shared" si="24"/>
        <v>-1.2989315520996277E-2</v>
      </c>
      <c r="G91" s="38">
        <f>SUM(G86:G90)</f>
        <v>132307</v>
      </c>
      <c r="H91" s="39">
        <f t="shared" si="25"/>
        <v>2.0782120371560048E-2</v>
      </c>
      <c r="J91" s="38">
        <f>SUM(J86:J90)</f>
        <v>123037.22</v>
      </c>
      <c r="K91" s="38">
        <f>SUM(K86:K90)</f>
        <v>125431.02000000002</v>
      </c>
      <c r="L91" s="39">
        <f t="shared" si="26"/>
        <v>-1.9084593268874135E-2</v>
      </c>
      <c r="M91" s="19"/>
    </row>
    <row r="92" spans="1:13" ht="6.75" customHeight="1" x14ac:dyDescent="0.25">
      <c r="F92" s="12"/>
    </row>
    <row r="93" spans="1:13" x14ac:dyDescent="0.25">
      <c r="A93" s="5" t="s">
        <v>64</v>
      </c>
      <c r="F93" s="12"/>
    </row>
    <row r="94" spans="1:13" x14ac:dyDescent="0.25">
      <c r="B94" s="1" t="s">
        <v>65</v>
      </c>
      <c r="D94" s="6">
        <f>+E94*1.02</f>
        <v>11533.14</v>
      </c>
      <c r="E94" s="6">
        <v>11307</v>
      </c>
      <c r="F94" s="7">
        <f t="shared" ref="F94:F96" si="27">IF(E94=0,"NA",(+D94-E94)/E94)</f>
        <v>1.9999999999999948E-2</v>
      </c>
      <c r="G94" s="6">
        <v>10978</v>
      </c>
      <c r="H94" s="7">
        <f>IF(G94=0,"NA",(+D94-G94)/G94)</f>
        <v>5.0568409546365406E-2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66</v>
      </c>
      <c r="D95" s="6">
        <f>250*12</f>
        <v>3000</v>
      </c>
      <c r="E95" s="6">
        <v>5000</v>
      </c>
      <c r="F95" s="7">
        <f t="shared" si="27"/>
        <v>-0.4</v>
      </c>
      <c r="G95" s="6">
        <v>5000</v>
      </c>
      <c r="H95" s="7">
        <f>IF(G95=0,"NA",(+D95-G95)/G95)</f>
        <v>-0.4</v>
      </c>
      <c r="J95" s="6">
        <v>4583.26</v>
      </c>
      <c r="K95" s="6">
        <v>4583.37</v>
      </c>
      <c r="L95" s="7">
        <f>IF(K95=0,"NA",(+J95-K95)/K95)</f>
        <v>-2.3999808001464553E-5</v>
      </c>
    </row>
    <row r="96" spans="1:13" s="5" customFormat="1" x14ac:dyDescent="0.25">
      <c r="A96" s="38" t="s">
        <v>67</v>
      </c>
      <c r="B96" s="38"/>
      <c r="C96" s="38"/>
      <c r="D96" s="38">
        <f>SUM(D94:D95)</f>
        <v>14533.14</v>
      </c>
      <c r="E96" s="38">
        <f>SUM(E94:E95)</f>
        <v>16307</v>
      </c>
      <c r="F96" s="39">
        <f t="shared" si="27"/>
        <v>-0.10877905194088432</v>
      </c>
      <c r="G96" s="38">
        <f>SUM(G94:G95)</f>
        <v>15978</v>
      </c>
      <c r="H96" s="39">
        <f>IF(G96=0,"NA",(+D96-G96)/G96)</f>
        <v>-9.0428088621855085E-2</v>
      </c>
      <c r="J96" s="38">
        <f>SUM(J94:J95)</f>
        <v>14948.12</v>
      </c>
      <c r="K96" s="38">
        <f>SUM(K94:K95)</f>
        <v>14948.119999999999</v>
      </c>
      <c r="L96" s="39">
        <f>IF(K96=0,"NA",(+J96-K96)/K96)</f>
        <v>1.2168683443442096E-16</v>
      </c>
      <c r="M96" s="19"/>
    </row>
    <row r="97" spans="1:13" ht="4.5" customHeight="1" x14ac:dyDescent="0.25">
      <c r="F97" s="12"/>
    </row>
    <row r="98" spans="1:13" x14ac:dyDescent="0.25">
      <c r="A98" s="5" t="s">
        <v>68</v>
      </c>
      <c r="F98" s="12"/>
    </row>
    <row r="99" spans="1:13" x14ac:dyDescent="0.25">
      <c r="B99" s="1" t="s">
        <v>65</v>
      </c>
      <c r="D99" s="6">
        <f>+E99*1.02</f>
        <v>13797.54</v>
      </c>
      <c r="E99" s="6">
        <v>13527</v>
      </c>
      <c r="F99" s="7">
        <f t="shared" ref="F99:F101" si="28">IF(E99=0,"NA",(+D99-E99)/E99)</f>
        <v>2.0000000000000063E-2</v>
      </c>
      <c r="G99" s="6">
        <v>13133</v>
      </c>
      <c r="H99" s="7">
        <f>IF(G99=0,"NA",(+D99-G99)/G99)</f>
        <v>5.0600776669458683E-2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69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8" t="s">
        <v>70</v>
      </c>
      <c r="B101" s="38"/>
      <c r="C101" s="38"/>
      <c r="D101" s="38">
        <f>SUM(D99:D100)</f>
        <v>14547.54</v>
      </c>
      <c r="E101" s="38">
        <f>SUM(E99:E100)</f>
        <v>14527</v>
      </c>
      <c r="F101" s="39">
        <f t="shared" si="28"/>
        <v>1.413918909616636E-3</v>
      </c>
      <c r="G101" s="38">
        <f>SUM(G99:G100)</f>
        <v>13872</v>
      </c>
      <c r="H101" s="39">
        <f>IF(G101=0,"NA",(+D101-G101)/G101)</f>
        <v>4.8698096885813211E-2</v>
      </c>
      <c r="J101" s="38">
        <f>SUM(J99:J100)</f>
        <v>13048.61</v>
      </c>
      <c r="K101" s="38">
        <f>SUM(K99:K100)</f>
        <v>13316.38</v>
      </c>
      <c r="L101" s="39">
        <f>IF(K101=0,"NA",(+J101-K101)/K101)</f>
        <v>-2.0108317725988492E-2</v>
      </c>
      <c r="M101" s="19"/>
    </row>
    <row r="102" spans="1:13" ht="6" customHeight="1" x14ac:dyDescent="0.25">
      <c r="F102" s="12"/>
    </row>
    <row r="103" spans="1:13" x14ac:dyDescent="0.25">
      <c r="A103" s="5" t="s">
        <v>71</v>
      </c>
      <c r="F103" s="12"/>
    </row>
    <row r="104" spans="1:13" x14ac:dyDescent="0.25">
      <c r="B104" s="1" t="s">
        <v>65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14" t="s">
        <v>150</v>
      </c>
    </row>
    <row r="105" spans="1:13" ht="30" x14ac:dyDescent="0.25">
      <c r="B105" s="1" t="s">
        <v>60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14" t="s">
        <v>160</v>
      </c>
    </row>
    <row r="106" spans="1:13" x14ac:dyDescent="0.25">
      <c r="B106" s="1" t="s">
        <v>62</v>
      </c>
      <c r="D106" s="6">
        <v>500</v>
      </c>
      <c r="E106" s="6">
        <v>750</v>
      </c>
      <c r="F106" s="7">
        <f t="shared" si="29"/>
        <v>-0.33333333333333331</v>
      </c>
      <c r="G106" s="6">
        <v>106</v>
      </c>
      <c r="H106" s="7">
        <f t="shared" si="30"/>
        <v>3.7169811320754715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61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66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72</v>
      </c>
      <c r="D109" s="6">
        <v>1000</v>
      </c>
      <c r="E109" s="6">
        <v>1000</v>
      </c>
      <c r="F109" s="7">
        <f t="shared" si="29"/>
        <v>0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8" t="s">
        <v>73</v>
      </c>
      <c r="B110" s="38"/>
      <c r="C110" s="38"/>
      <c r="D110" s="38">
        <f>SUM(D104:D109)</f>
        <v>44953</v>
      </c>
      <c r="E110" s="38">
        <f>SUM(E104:E109)</f>
        <v>43353</v>
      </c>
      <c r="F110" s="39">
        <f t="shared" si="29"/>
        <v>3.6906327128457088E-2</v>
      </c>
      <c r="G110" s="38">
        <f>SUM(G104:G109)</f>
        <v>40659</v>
      </c>
      <c r="H110" s="39">
        <f t="shared" si="30"/>
        <v>0.10561007403034998</v>
      </c>
      <c r="J110" s="38">
        <f>SUM(J104:J109)</f>
        <v>39465.579999999994</v>
      </c>
      <c r="K110" s="38">
        <f>SUM(K104:K109)</f>
        <v>39740.25</v>
      </c>
      <c r="L110" s="39">
        <f t="shared" si="31"/>
        <v>-6.9116324129819395E-3</v>
      </c>
      <c r="M110" s="19"/>
    </row>
    <row r="111" spans="1:13" ht="6" customHeight="1" x14ac:dyDescent="0.25">
      <c r="F111" s="12"/>
    </row>
    <row r="112" spans="1:13" x14ac:dyDescent="0.25">
      <c r="A112" s="5" t="s">
        <v>74</v>
      </c>
      <c r="F112" s="12"/>
    </row>
    <row r="113" spans="1:15" x14ac:dyDescent="0.25">
      <c r="B113" s="1" t="s">
        <v>75</v>
      </c>
      <c r="D113" s="6">
        <v>9600</v>
      </c>
      <c r="E113" s="6">
        <v>9580</v>
      </c>
      <c r="F113" s="7">
        <f t="shared" ref="F113:F119" si="32">IF(E113=0,"NA",(+D113-E113)/E113)</f>
        <v>2.0876826722338203E-3</v>
      </c>
      <c r="G113" s="6">
        <v>9580</v>
      </c>
      <c r="H113" s="7">
        <f t="shared" ref="H113:H119" si="33">IF(G113=0,"NA",(+D113-G113)/G113)</f>
        <v>2.0876826722338203E-3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76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77</v>
      </c>
      <c r="D115" s="6">
        <f>+E115*1.02</f>
        <v>18151.920000000002</v>
      </c>
      <c r="E115" s="6">
        <v>17796</v>
      </c>
      <c r="F115" s="7">
        <f t="shared" si="32"/>
        <v>2.0000000000000108E-2</v>
      </c>
      <c r="G115" s="6">
        <v>17492</v>
      </c>
      <c r="H115" s="7">
        <f t="shared" si="33"/>
        <v>3.7726960896409895E-2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78</v>
      </c>
      <c r="D116" s="6">
        <f>+E116*1.02</f>
        <v>6712.62</v>
      </c>
      <c r="E116" s="6">
        <v>6581</v>
      </c>
      <c r="F116" s="7">
        <f t="shared" si="32"/>
        <v>1.9999999999999983E-2</v>
      </c>
      <c r="G116" s="6">
        <v>6389</v>
      </c>
      <c r="H116" s="7">
        <f t="shared" si="33"/>
        <v>5.0652684301142573E-2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79</v>
      </c>
      <c r="D117" s="6">
        <f>+E117*1.02</f>
        <v>1731.96</v>
      </c>
      <c r="E117" s="6">
        <v>1698</v>
      </c>
      <c r="F117" s="7">
        <f t="shared" si="32"/>
        <v>2.0000000000000021E-2</v>
      </c>
      <c r="G117" s="6">
        <v>1697</v>
      </c>
      <c r="H117" s="7">
        <f t="shared" si="33"/>
        <v>2.0601060695344748E-2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80</v>
      </c>
      <c r="D118" s="6">
        <v>2500</v>
      </c>
      <c r="E118" s="6">
        <v>2500</v>
      </c>
      <c r="F118" s="7">
        <f t="shared" si="32"/>
        <v>0</v>
      </c>
      <c r="G118" s="6">
        <v>2400</v>
      </c>
      <c r="H118" s="7">
        <f t="shared" si="33"/>
        <v>4.1666666666666664E-2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8" t="s">
        <v>81</v>
      </c>
      <c r="B119" s="38"/>
      <c r="C119" s="38"/>
      <c r="D119" s="38">
        <f>SUM(D113:D118)</f>
        <v>39196.5</v>
      </c>
      <c r="E119" s="38">
        <f>SUM(E113:E118)</f>
        <v>39055</v>
      </c>
      <c r="F119" s="39">
        <f t="shared" si="32"/>
        <v>3.6230956343617973E-3</v>
      </c>
      <c r="G119" s="38">
        <f>SUM(G113:G118)</f>
        <v>37958</v>
      </c>
      <c r="H119" s="39">
        <f t="shared" si="33"/>
        <v>3.2628167975130407E-2</v>
      </c>
      <c r="J119" s="38">
        <f>SUM(J113:J118)</f>
        <v>35220.869999999995</v>
      </c>
      <c r="K119" s="38">
        <f>SUM(K113:K118)</f>
        <v>35690.659999999996</v>
      </c>
      <c r="L119" s="39">
        <f t="shared" si="34"/>
        <v>-1.3162827473630382E-2</v>
      </c>
      <c r="M119" s="19"/>
    </row>
    <row r="120" spans="1:15" ht="6.75" customHeight="1" x14ac:dyDescent="0.25">
      <c r="F120" s="12"/>
    </row>
    <row r="121" spans="1:15" x14ac:dyDescent="0.25">
      <c r="A121" s="5" t="s">
        <v>82</v>
      </c>
      <c r="F121" s="12"/>
    </row>
    <row r="122" spans="1:15" ht="45" x14ac:dyDescent="0.25">
      <c r="B122" s="1" t="s">
        <v>135</v>
      </c>
      <c r="D122" s="6">
        <f>(13.66*1.04)*18*50</f>
        <v>12785.76</v>
      </c>
      <c r="E122" s="6">
        <v>10655</v>
      </c>
      <c r="F122" s="7">
        <f t="shared" ref="F122:F133" si="35">IF(E122=0,"NA",(+D122-E122)/E122)</f>
        <v>0.19997747536367905</v>
      </c>
      <c r="G122" s="6">
        <v>11830</v>
      </c>
      <c r="H122" s="7">
        <f t="shared" ref="H122:H133" si="36">IF(G122=0,"NA",(+D122-G122)/G122)</f>
        <v>8.079120879120881E-2</v>
      </c>
      <c r="J122" s="6">
        <v>11464.97</v>
      </c>
      <c r="K122" s="6">
        <v>9767.1200000000008</v>
      </c>
      <c r="L122" s="7">
        <f t="shared" ref="L122:L133" si="37">IF(K122=0,"NA",(+J122-K122)/K122)</f>
        <v>0.1738332282187583</v>
      </c>
      <c r="M122" s="14" t="s">
        <v>152</v>
      </c>
      <c r="O122" s="40"/>
    </row>
    <row r="123" spans="1:15" ht="39.75" customHeight="1" x14ac:dyDescent="0.25">
      <c r="B123" s="1" t="s">
        <v>84</v>
      </c>
      <c r="D123" s="6">
        <f>+E123*1.017</f>
        <v>31647.005999999998</v>
      </c>
      <c r="E123" s="6">
        <v>31118</v>
      </c>
      <c r="F123" s="7">
        <f t="shared" si="35"/>
        <v>1.6999999999999921E-2</v>
      </c>
      <c r="G123" s="6">
        <v>31785</v>
      </c>
      <c r="H123" s="7">
        <f t="shared" si="36"/>
        <v>-4.341481831052459E-3</v>
      </c>
      <c r="J123" s="6">
        <v>31769.16</v>
      </c>
      <c r="K123" s="6">
        <v>28524.87</v>
      </c>
      <c r="L123" s="7">
        <f t="shared" si="37"/>
        <v>0.11373548766392277</v>
      </c>
      <c r="M123" s="14" t="s">
        <v>153</v>
      </c>
    </row>
    <row r="124" spans="1:15" x14ac:dyDescent="0.25">
      <c r="B124" s="1" t="s">
        <v>85</v>
      </c>
      <c r="D124" s="6">
        <v>500</v>
      </c>
      <c r="E124" s="6">
        <v>500</v>
      </c>
      <c r="F124" s="7">
        <f t="shared" si="35"/>
        <v>0</v>
      </c>
      <c r="G124" s="6">
        <v>569</v>
      </c>
      <c r="H124" s="7">
        <f t="shared" si="36"/>
        <v>-0.12126537785588752</v>
      </c>
      <c r="J124" s="6">
        <v>544.22</v>
      </c>
      <c r="K124" s="6">
        <v>458.37</v>
      </c>
      <c r="L124" s="7">
        <f t="shared" si="37"/>
        <v>0.18729410738050051</v>
      </c>
    </row>
    <row r="125" spans="1:15" x14ac:dyDescent="0.25">
      <c r="B125" s="1" t="s">
        <v>86</v>
      </c>
      <c r="D125" s="6">
        <v>1000</v>
      </c>
      <c r="E125" s="6">
        <v>1000</v>
      </c>
      <c r="F125" s="7">
        <f t="shared" si="35"/>
        <v>0</v>
      </c>
      <c r="G125" s="6">
        <v>700</v>
      </c>
      <c r="H125" s="7">
        <f t="shared" si="36"/>
        <v>0.42857142857142855</v>
      </c>
      <c r="J125" s="6">
        <v>102.87</v>
      </c>
      <c r="K125" s="6">
        <v>916.63</v>
      </c>
      <c r="L125" s="7">
        <f t="shared" si="37"/>
        <v>-0.88777369276589246</v>
      </c>
    </row>
    <row r="126" spans="1:15" ht="30" x14ac:dyDescent="0.25">
      <c r="B126" s="1" t="s">
        <v>87</v>
      </c>
      <c r="D126" s="6">
        <f>7.5*4*20</f>
        <v>600</v>
      </c>
      <c r="E126" s="6">
        <v>600</v>
      </c>
      <c r="F126" s="7">
        <f t="shared" si="35"/>
        <v>0</v>
      </c>
      <c r="G126" s="6">
        <v>770</v>
      </c>
      <c r="H126" s="7">
        <f t="shared" si="36"/>
        <v>-0.22077922077922077</v>
      </c>
      <c r="J126" s="6">
        <v>1298.29</v>
      </c>
      <c r="K126" s="6">
        <v>550</v>
      </c>
      <c r="L126" s="7">
        <f t="shared" si="37"/>
        <v>1.3605272727272726</v>
      </c>
      <c r="M126" s="14" t="s">
        <v>162</v>
      </c>
      <c r="N126" s="6"/>
    </row>
    <row r="127" spans="1:15" x14ac:dyDescent="0.25">
      <c r="B127" s="1" t="s">
        <v>136</v>
      </c>
      <c r="D127" s="6">
        <f>11.5*30*50</f>
        <v>17250</v>
      </c>
      <c r="E127" s="6">
        <v>19282</v>
      </c>
      <c r="F127" s="7">
        <f t="shared" si="35"/>
        <v>-0.10538325899802925</v>
      </c>
      <c r="G127" s="6">
        <v>19111</v>
      </c>
      <c r="H127" s="7">
        <f t="shared" si="36"/>
        <v>-9.7378473130657742E-2</v>
      </c>
      <c r="J127" s="6">
        <v>20563.669999999998</v>
      </c>
      <c r="K127" s="6">
        <v>17675.13</v>
      </c>
      <c r="L127" s="7">
        <f t="shared" si="37"/>
        <v>0.1634239748165924</v>
      </c>
      <c r="M127" s="14" t="s">
        <v>161</v>
      </c>
    </row>
    <row r="128" spans="1:15" x14ac:dyDescent="0.25">
      <c r="B128" s="1" t="s">
        <v>88</v>
      </c>
      <c r="D128" s="6">
        <v>9978</v>
      </c>
      <c r="E128" s="6">
        <v>10025</v>
      </c>
      <c r="F128" s="7">
        <f t="shared" si="35"/>
        <v>-4.6882793017456355E-3</v>
      </c>
      <c r="G128" s="6">
        <v>9696</v>
      </c>
      <c r="H128" s="7">
        <f t="shared" si="36"/>
        <v>2.9084158415841586E-2</v>
      </c>
      <c r="J128" s="6">
        <v>7614.73</v>
      </c>
      <c r="K128" s="6">
        <v>9189.6200000000008</v>
      </c>
      <c r="L128" s="7">
        <f t="shared" si="37"/>
        <v>-0.1713770536757778</v>
      </c>
      <c r="M128" s="14" t="s">
        <v>159</v>
      </c>
    </row>
    <row r="129" spans="1:13" x14ac:dyDescent="0.25">
      <c r="B129" s="1" t="s">
        <v>89</v>
      </c>
      <c r="D129" s="6">
        <v>3400</v>
      </c>
      <c r="E129" s="6">
        <v>3300</v>
      </c>
      <c r="F129" s="7">
        <f t="shared" si="35"/>
        <v>3.0303030303030304E-2</v>
      </c>
      <c r="G129" s="6">
        <v>3120</v>
      </c>
      <c r="H129" s="7">
        <f t="shared" si="36"/>
        <v>8.9743589743589744E-2</v>
      </c>
      <c r="J129" s="6">
        <v>2455</v>
      </c>
      <c r="K129" s="6">
        <v>3300</v>
      </c>
      <c r="L129" s="7">
        <f t="shared" si="37"/>
        <v>-0.25606060606060604</v>
      </c>
      <c r="M129" s="14" t="s">
        <v>159</v>
      </c>
    </row>
    <row r="130" spans="1:13" x14ac:dyDescent="0.25">
      <c r="B130" s="1" t="s">
        <v>90</v>
      </c>
      <c r="D130" s="6">
        <v>600</v>
      </c>
      <c r="E130" s="6">
        <v>600</v>
      </c>
      <c r="F130" s="7">
        <f t="shared" si="35"/>
        <v>0</v>
      </c>
      <c r="G130" s="6">
        <v>700</v>
      </c>
      <c r="H130" s="7">
        <f t="shared" si="36"/>
        <v>-0.14285714285714285</v>
      </c>
      <c r="J130" s="6">
        <v>1050</v>
      </c>
      <c r="K130" s="6">
        <v>550</v>
      </c>
      <c r="L130" s="7">
        <f t="shared" si="37"/>
        <v>0.90909090909090906</v>
      </c>
    </row>
    <row r="131" spans="1:13" x14ac:dyDescent="0.25">
      <c r="B131" s="1" t="s">
        <v>91</v>
      </c>
      <c r="D131" s="6">
        <v>-5000</v>
      </c>
      <c r="E131" s="6">
        <v>-4000</v>
      </c>
      <c r="F131" s="7">
        <f t="shared" si="35"/>
        <v>0.25</v>
      </c>
      <c r="G131" s="6">
        <v>-4000</v>
      </c>
      <c r="H131" s="7">
        <f t="shared" si="36"/>
        <v>0.25</v>
      </c>
      <c r="J131" s="6">
        <v>-4000</v>
      </c>
      <c r="K131" s="6">
        <v>-4000</v>
      </c>
      <c r="L131" s="7">
        <f t="shared" si="37"/>
        <v>0</v>
      </c>
      <c r="M131" s="14" t="s">
        <v>163</v>
      </c>
    </row>
    <row r="132" spans="1:13" s="5" customFormat="1" x14ac:dyDescent="0.25">
      <c r="A132" s="38" t="s">
        <v>83</v>
      </c>
      <c r="B132" s="38"/>
      <c r="C132" s="38"/>
      <c r="D132" s="38">
        <f>SUM(D122:D131)</f>
        <v>72760.766000000003</v>
      </c>
      <c r="E132" s="38">
        <f>SUM(E122:E131)</f>
        <v>73080</v>
      </c>
      <c r="F132" s="39">
        <f t="shared" si="35"/>
        <v>-4.3682813355226703E-3</v>
      </c>
      <c r="G132" s="38">
        <f>SUM(G122:G131)</f>
        <v>74281</v>
      </c>
      <c r="H132" s="39">
        <f t="shared" si="36"/>
        <v>-2.0465987264576362E-2</v>
      </c>
      <c r="J132" s="38">
        <f>SUM(J122:J131)</f>
        <v>72862.909999999989</v>
      </c>
      <c r="K132" s="38">
        <f>SUM(K122:K131)</f>
        <v>66931.739999999991</v>
      </c>
      <c r="L132" s="39">
        <f t="shared" si="37"/>
        <v>8.8615207075148486E-2</v>
      </c>
      <c r="M132" s="19"/>
    </row>
    <row r="133" spans="1:13" x14ac:dyDescent="0.25">
      <c r="A133" s="38" t="s">
        <v>92</v>
      </c>
      <c r="B133" s="38"/>
      <c r="C133" s="38"/>
      <c r="D133" s="38">
        <f>+D91+D96+D101+D110+D119+D132</f>
        <v>321047.56599999999</v>
      </c>
      <c r="E133" s="38">
        <f>+E91+E96+E101+E110+E119+E132</f>
        <v>323156</v>
      </c>
      <c r="F133" s="39">
        <f t="shared" si="35"/>
        <v>-6.5245082870192981E-3</v>
      </c>
      <c r="G133" s="38">
        <f t="shared" ref="G133" si="38">+G91+G96+G101+G110+G119+G132</f>
        <v>315055</v>
      </c>
      <c r="H133" s="39">
        <f t="shared" si="36"/>
        <v>1.9020697973369704E-2</v>
      </c>
      <c r="J133" s="38">
        <f t="shared" ref="J133:K133" si="39">+J91+J96+J101+J110+J119+J132</f>
        <v>298583.31</v>
      </c>
      <c r="K133" s="38">
        <f t="shared" si="39"/>
        <v>296058.17000000004</v>
      </c>
      <c r="L133" s="39">
        <f t="shared" si="37"/>
        <v>8.5292022172533035E-3</v>
      </c>
    </row>
    <row r="134" spans="1:13" ht="8.25" customHeight="1" x14ac:dyDescent="0.25">
      <c r="F134" s="12"/>
    </row>
    <row r="135" spans="1:13" ht="18.75" x14ac:dyDescent="0.25">
      <c r="A135" s="16" t="s">
        <v>93</v>
      </c>
      <c r="F135" s="12"/>
    </row>
    <row r="136" spans="1:13" x14ac:dyDescent="0.25">
      <c r="A136" s="5" t="s">
        <v>94</v>
      </c>
      <c r="F136" s="12"/>
    </row>
    <row r="137" spans="1:13" x14ac:dyDescent="0.25">
      <c r="B137" s="1" t="s">
        <v>96</v>
      </c>
      <c r="D137" s="6">
        <v>18000</v>
      </c>
      <c r="E137" s="6">
        <v>16500</v>
      </c>
      <c r="F137" s="7">
        <f t="shared" ref="F137:F144" si="40">IF(E137=0,"NA",(+D137-E137)/E137)</f>
        <v>9.0909090909090912E-2</v>
      </c>
      <c r="G137" s="6">
        <v>16071</v>
      </c>
      <c r="H137" s="7">
        <f t="shared" ref="H137:H144" si="41">IF(G137=0,"NA",(+D137-G137)/G137)</f>
        <v>0.12002986746313235</v>
      </c>
      <c r="J137" s="6">
        <v>16321.87</v>
      </c>
      <c r="K137" s="6">
        <v>15125</v>
      </c>
      <c r="L137" s="7">
        <f t="shared" ref="L137:L144" si="42">IF(K137=0,"NA",(+J137-K137)/K137)</f>
        <v>7.9131900826446333E-2</v>
      </c>
      <c r="M137" s="14" t="s">
        <v>155</v>
      </c>
    </row>
    <row r="138" spans="1:13" x14ac:dyDescent="0.25">
      <c r="B138" s="1" t="s">
        <v>97</v>
      </c>
      <c r="D138" s="6">
        <v>12000</v>
      </c>
      <c r="E138" s="6">
        <v>12000</v>
      </c>
      <c r="F138" s="7">
        <f t="shared" si="40"/>
        <v>0</v>
      </c>
      <c r="G138" s="6">
        <v>10365</v>
      </c>
      <c r="H138" s="7">
        <f t="shared" si="41"/>
        <v>0.15774240231548481</v>
      </c>
      <c r="J138" s="6">
        <v>11367.85</v>
      </c>
      <c r="K138" s="6">
        <v>11000</v>
      </c>
      <c r="L138" s="7">
        <f t="shared" si="42"/>
        <v>3.3440909090909125E-2</v>
      </c>
    </row>
    <row r="139" spans="1:13" x14ac:dyDescent="0.25">
      <c r="B139" s="1" t="s">
        <v>98</v>
      </c>
      <c r="D139" s="6">
        <v>3400</v>
      </c>
      <c r="E139" s="6">
        <v>3900</v>
      </c>
      <c r="F139" s="7">
        <f t="shared" si="40"/>
        <v>-0.12820512820512819</v>
      </c>
      <c r="G139" s="6">
        <v>3847</v>
      </c>
      <c r="H139" s="7">
        <f t="shared" si="41"/>
        <v>-0.11619443722381076</v>
      </c>
      <c r="J139" s="6">
        <v>3726.01</v>
      </c>
      <c r="K139" s="6">
        <v>3575</v>
      </c>
      <c r="L139" s="7">
        <f t="shared" si="42"/>
        <v>4.2240559440559503E-2</v>
      </c>
    </row>
    <row r="140" spans="1:13" x14ac:dyDescent="0.25">
      <c r="B140" s="1" t="s">
        <v>99</v>
      </c>
      <c r="D140" s="6">
        <v>850</v>
      </c>
      <c r="E140" s="6">
        <v>800</v>
      </c>
      <c r="F140" s="7">
        <f t="shared" si="40"/>
        <v>6.25E-2</v>
      </c>
      <c r="G140" s="6">
        <v>766</v>
      </c>
      <c r="H140" s="7">
        <f t="shared" si="41"/>
        <v>0.10966057441253264</v>
      </c>
      <c r="J140" s="6">
        <v>742.15</v>
      </c>
      <c r="K140" s="6">
        <v>800</v>
      </c>
      <c r="L140" s="7">
        <f t="shared" si="42"/>
        <v>-7.231250000000003E-2</v>
      </c>
      <c r="M140" s="14" t="s">
        <v>154</v>
      </c>
    </row>
    <row r="141" spans="1:13" x14ac:dyDescent="0.25">
      <c r="B141" s="1" t="s">
        <v>100</v>
      </c>
      <c r="D141" s="6">
        <v>3300</v>
      </c>
      <c r="E141" s="6">
        <v>3300</v>
      </c>
      <c r="F141" s="7">
        <f t="shared" si="40"/>
        <v>0</v>
      </c>
      <c r="G141" s="6">
        <v>3016</v>
      </c>
      <c r="H141" s="7">
        <f t="shared" si="41"/>
        <v>9.4164456233421748E-2</v>
      </c>
      <c r="J141" s="6">
        <v>3225.73</v>
      </c>
      <c r="K141" s="6">
        <v>3025</v>
      </c>
      <c r="L141" s="7">
        <f t="shared" si="42"/>
        <v>6.6357024793388439E-2</v>
      </c>
    </row>
    <row r="142" spans="1:13" x14ac:dyDescent="0.25">
      <c r="B142" s="1" t="s">
        <v>101</v>
      </c>
      <c r="D142" s="6">
        <v>2500</v>
      </c>
      <c r="E142" s="6">
        <v>2400</v>
      </c>
      <c r="F142" s="7">
        <f t="shared" si="40"/>
        <v>4.1666666666666664E-2</v>
      </c>
      <c r="G142" s="6">
        <v>2344</v>
      </c>
      <c r="H142" s="7">
        <f t="shared" si="41"/>
        <v>6.655290102389079E-2</v>
      </c>
      <c r="J142" s="6">
        <v>2716.41</v>
      </c>
      <c r="K142" s="6">
        <v>2200</v>
      </c>
      <c r="L142" s="7">
        <f t="shared" si="42"/>
        <v>0.23473181818181812</v>
      </c>
    </row>
    <row r="143" spans="1:13" x14ac:dyDescent="0.25">
      <c r="B143" s="1" t="s">
        <v>102</v>
      </c>
      <c r="D143" s="6">
        <v>3100</v>
      </c>
      <c r="E143" s="6">
        <v>3100</v>
      </c>
      <c r="F143" s="7">
        <f t="shared" si="40"/>
        <v>0</v>
      </c>
      <c r="G143" s="6">
        <v>3025</v>
      </c>
      <c r="H143" s="7">
        <f t="shared" si="41"/>
        <v>2.4793388429752067E-2</v>
      </c>
      <c r="J143" s="6">
        <v>3163.5</v>
      </c>
      <c r="K143" s="6">
        <v>3100</v>
      </c>
      <c r="L143" s="7">
        <f t="shared" si="42"/>
        <v>2.0483870967741936E-2</v>
      </c>
    </row>
    <row r="144" spans="1:13" s="5" customFormat="1" x14ac:dyDescent="0.25">
      <c r="A144" s="41" t="s">
        <v>103</v>
      </c>
      <c r="B144" s="41"/>
      <c r="C144" s="41"/>
      <c r="D144" s="41">
        <f>SUM(D137:D143)</f>
        <v>43150</v>
      </c>
      <c r="E144" s="41">
        <f>SUM(E137:E143)</f>
        <v>42000</v>
      </c>
      <c r="F144" s="42">
        <f t="shared" si="40"/>
        <v>2.7380952380952381E-2</v>
      </c>
      <c r="G144" s="41">
        <f>SUM(G137:G143)</f>
        <v>39434</v>
      </c>
      <c r="H144" s="42">
        <f t="shared" si="41"/>
        <v>9.4233402647461578E-2</v>
      </c>
      <c r="J144" s="41">
        <f>SUM(J137:J143)</f>
        <v>41263.520000000004</v>
      </c>
      <c r="K144" s="41">
        <f>SUM(K137:K143)</f>
        <v>38825</v>
      </c>
      <c r="L144" s="42">
        <f t="shared" si="42"/>
        <v>6.280798454604003E-2</v>
      </c>
      <c r="M144" s="19"/>
    </row>
    <row r="145" spans="1:13" s="5" customFormat="1" ht="6.75" customHeight="1" x14ac:dyDescent="0.25">
      <c r="A145" s="27"/>
      <c r="B145" s="27"/>
      <c r="C145" s="27"/>
      <c r="D145" s="27"/>
      <c r="E145" s="27"/>
      <c r="F145" s="30"/>
      <c r="G145" s="27"/>
      <c r="H145" s="30"/>
      <c r="J145" s="27"/>
      <c r="K145" s="27"/>
      <c r="L145" s="30"/>
      <c r="M145" s="19"/>
    </row>
    <row r="146" spans="1:13" x14ac:dyDescent="0.25">
      <c r="A146" s="5" t="s">
        <v>104</v>
      </c>
      <c r="F146" s="12"/>
    </row>
    <row r="147" spans="1:13" x14ac:dyDescent="0.25">
      <c r="B147" s="1" t="s">
        <v>105</v>
      </c>
      <c r="D147" s="6">
        <v>12000</v>
      </c>
      <c r="E147" s="6">
        <v>11000</v>
      </c>
      <c r="F147" s="7">
        <f t="shared" ref="F147:F156" si="43">IF(E147=0,"NA",(+D147-E147)/E147)</f>
        <v>9.0909090909090912E-2</v>
      </c>
      <c r="G147" s="6">
        <v>10182</v>
      </c>
      <c r="H147" s="7">
        <f t="shared" ref="H147:H156" si="44">IF(G147=0,"NA",(+D147-G147)/G147)</f>
        <v>0.17855038302887449</v>
      </c>
      <c r="J147" s="6">
        <v>9766.41</v>
      </c>
      <c r="K147" s="6">
        <v>11000</v>
      </c>
      <c r="L147" s="7">
        <f t="shared" ref="L147:L156" si="45">IF(K147=0,"NA",(+J147-K147)/K147)</f>
        <v>-0.11214454545454547</v>
      </c>
    </row>
    <row r="148" spans="1:13" x14ac:dyDescent="0.25">
      <c r="B148" s="1" t="s">
        <v>106</v>
      </c>
      <c r="D148" s="6">
        <v>5000</v>
      </c>
      <c r="E148" s="6">
        <v>5000</v>
      </c>
      <c r="F148" s="7">
        <f t="shared" si="43"/>
        <v>0</v>
      </c>
      <c r="G148" s="6">
        <v>5938</v>
      </c>
      <c r="H148" s="7">
        <f t="shared" si="44"/>
        <v>-0.15796564499831592</v>
      </c>
      <c r="J148" s="6">
        <v>5650.25</v>
      </c>
      <c r="K148" s="6">
        <v>4000</v>
      </c>
      <c r="L148" s="7">
        <f t="shared" si="45"/>
        <v>0.4125625</v>
      </c>
    </row>
    <row r="149" spans="1:13" x14ac:dyDescent="0.25">
      <c r="B149" s="1" t="s">
        <v>107</v>
      </c>
      <c r="D149" s="6">
        <v>2500</v>
      </c>
      <c r="E149" s="6">
        <v>3000</v>
      </c>
      <c r="F149" s="7">
        <f t="shared" si="43"/>
        <v>-0.16666666666666666</v>
      </c>
      <c r="G149" s="6">
        <v>2996</v>
      </c>
      <c r="H149" s="7">
        <f t="shared" si="44"/>
        <v>-0.16555407209612816</v>
      </c>
      <c r="J149" s="6">
        <v>2054.81</v>
      </c>
      <c r="K149" s="6">
        <v>2750</v>
      </c>
      <c r="L149" s="7">
        <f t="shared" si="45"/>
        <v>-0.25279636363636365</v>
      </c>
    </row>
    <row r="150" spans="1:13" ht="28.5" customHeight="1" x14ac:dyDescent="0.25">
      <c r="B150" s="43" t="s">
        <v>143</v>
      </c>
      <c r="C150" s="43"/>
      <c r="D150" s="6">
        <v>2700</v>
      </c>
      <c r="E150" s="6">
        <v>3000</v>
      </c>
      <c r="F150" s="7">
        <f t="shared" si="43"/>
        <v>-0.1</v>
      </c>
      <c r="G150" s="6">
        <v>2796</v>
      </c>
      <c r="H150" s="7">
        <f t="shared" si="44"/>
        <v>-3.4334763948497854E-2</v>
      </c>
      <c r="J150" s="6">
        <v>2749.08</v>
      </c>
      <c r="K150" s="6">
        <v>2750</v>
      </c>
      <c r="L150" s="7">
        <f t="shared" si="45"/>
        <v>-3.3454545454548101E-4</v>
      </c>
    </row>
    <row r="151" spans="1:13" x14ac:dyDescent="0.25">
      <c r="B151" s="1" t="s">
        <v>108</v>
      </c>
      <c r="D151" s="6">
        <v>10000</v>
      </c>
      <c r="E151" s="6">
        <v>6000</v>
      </c>
      <c r="F151" s="7">
        <f t="shared" si="43"/>
        <v>0.66666666666666663</v>
      </c>
      <c r="G151" s="6">
        <v>5158</v>
      </c>
      <c r="H151" s="7">
        <f t="shared" si="44"/>
        <v>0.93873594416440476</v>
      </c>
      <c r="J151" s="6">
        <v>7947.63</v>
      </c>
      <c r="K151" s="6">
        <v>5500</v>
      </c>
      <c r="L151" s="7">
        <f t="shared" si="45"/>
        <v>0.4450236363636364</v>
      </c>
      <c r="M151" s="14" t="s">
        <v>156</v>
      </c>
    </row>
    <row r="152" spans="1:13" x14ac:dyDescent="0.25">
      <c r="B152" s="1" t="s">
        <v>109</v>
      </c>
      <c r="D152" s="6">
        <v>0</v>
      </c>
      <c r="E152" s="6">
        <v>0</v>
      </c>
      <c r="F152" s="7" t="str">
        <f t="shared" si="43"/>
        <v>NA</v>
      </c>
      <c r="G152" s="6">
        <v>131</v>
      </c>
      <c r="H152" s="7">
        <f t="shared" si="44"/>
        <v>-1</v>
      </c>
      <c r="J152" s="6">
        <v>0</v>
      </c>
      <c r="K152" s="6">
        <v>0</v>
      </c>
      <c r="L152" s="7" t="str">
        <f t="shared" si="45"/>
        <v>NA</v>
      </c>
    </row>
    <row r="153" spans="1:13" x14ac:dyDescent="0.25">
      <c r="B153" s="1" t="s">
        <v>111</v>
      </c>
      <c r="D153" s="6">
        <v>54900</v>
      </c>
      <c r="E153" s="6">
        <v>54900</v>
      </c>
      <c r="F153" s="7">
        <f t="shared" si="43"/>
        <v>0</v>
      </c>
      <c r="G153" s="6">
        <v>55793</v>
      </c>
      <c r="H153" s="7">
        <f t="shared" si="44"/>
        <v>-1.6005592099367305E-2</v>
      </c>
      <c r="J153" s="6">
        <v>50303</v>
      </c>
      <c r="K153" s="6">
        <v>50325</v>
      </c>
      <c r="L153" s="7">
        <f t="shared" si="45"/>
        <v>-4.3715846994535519E-4</v>
      </c>
    </row>
    <row r="154" spans="1:13" x14ac:dyDescent="0.25">
      <c r="B154" s="1" t="s">
        <v>110</v>
      </c>
      <c r="D154" s="6">
        <v>1400</v>
      </c>
      <c r="E154" s="6">
        <v>1600</v>
      </c>
      <c r="F154" s="7">
        <f t="shared" si="43"/>
        <v>-0.125</v>
      </c>
      <c r="G154" s="6">
        <v>524</v>
      </c>
      <c r="H154" s="7">
        <f t="shared" si="44"/>
        <v>1.6717557251908397</v>
      </c>
      <c r="J154" s="6">
        <v>908.96</v>
      </c>
      <c r="K154" s="6">
        <v>1466.63</v>
      </c>
      <c r="L154" s="7">
        <f t="shared" si="45"/>
        <v>-0.38023905143083125</v>
      </c>
    </row>
    <row r="155" spans="1:13" s="5" customFormat="1" x14ac:dyDescent="0.25">
      <c r="A155" s="41" t="s">
        <v>112</v>
      </c>
      <c r="B155" s="41"/>
      <c r="C155" s="41"/>
      <c r="D155" s="41">
        <f>SUM(D147:D154)</f>
        <v>88500</v>
      </c>
      <c r="E155" s="41">
        <f>SUM(E147:E154)</f>
        <v>84500</v>
      </c>
      <c r="F155" s="42">
        <f t="shared" si="43"/>
        <v>4.7337278106508875E-2</v>
      </c>
      <c r="G155" s="41">
        <f>SUM(G147:G154)</f>
        <v>83518</v>
      </c>
      <c r="H155" s="42">
        <f t="shared" si="44"/>
        <v>5.9651811585526474E-2</v>
      </c>
      <c r="J155" s="41">
        <f>SUM(J147:J154)</f>
        <v>79380.140000000014</v>
      </c>
      <c r="K155" s="41">
        <f>SUM(K147:K154)</f>
        <v>77791.63</v>
      </c>
      <c r="L155" s="42">
        <f t="shared" si="45"/>
        <v>2.0420063186746558E-2</v>
      </c>
      <c r="M155" s="19"/>
    </row>
    <row r="156" spans="1:13" x14ac:dyDescent="0.25">
      <c r="A156" s="41" t="s">
        <v>113</v>
      </c>
      <c r="B156" s="41"/>
      <c r="C156" s="41"/>
      <c r="D156" s="41">
        <f>+D144+D155</f>
        <v>131650</v>
      </c>
      <c r="E156" s="41">
        <f>+E144+E155</f>
        <v>126500</v>
      </c>
      <c r="F156" s="42">
        <f t="shared" si="43"/>
        <v>4.0711462450592886E-2</v>
      </c>
      <c r="G156" s="41">
        <f t="shared" ref="G156" si="46">+G144+G155</f>
        <v>122952</v>
      </c>
      <c r="H156" s="42">
        <f t="shared" si="44"/>
        <v>7.074305420001302E-2</v>
      </c>
      <c r="J156" s="41">
        <f t="shared" ref="J156:K156" si="47">+J144+J155</f>
        <v>120643.66000000002</v>
      </c>
      <c r="K156" s="41">
        <f t="shared" si="47"/>
        <v>116616.63</v>
      </c>
      <c r="L156" s="42">
        <f t="shared" si="45"/>
        <v>3.4532210371711253E-2</v>
      </c>
    </row>
    <row r="157" spans="1:13" ht="4.5" customHeight="1" x14ac:dyDescent="0.25">
      <c r="F157" s="12"/>
    </row>
    <row r="158" spans="1:13" ht="18.75" x14ac:dyDescent="0.25">
      <c r="A158" s="16" t="s">
        <v>114</v>
      </c>
      <c r="F158" s="12"/>
    </row>
    <row r="159" spans="1:13" x14ac:dyDescent="0.25">
      <c r="A159" s="5" t="s">
        <v>115</v>
      </c>
      <c r="F159" s="12"/>
    </row>
    <row r="160" spans="1:13" x14ac:dyDescent="0.25">
      <c r="B160" s="1" t="s">
        <v>116</v>
      </c>
      <c r="D160" s="6">
        <v>0</v>
      </c>
      <c r="E160" s="6">
        <v>0</v>
      </c>
      <c r="F160" s="7" t="str">
        <f t="shared" ref="F160:F164" si="48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117</v>
      </c>
      <c r="D161" s="6">
        <v>5000</v>
      </c>
      <c r="E161" s="6">
        <v>5000</v>
      </c>
      <c r="F161" s="7">
        <f t="shared" si="48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118</v>
      </c>
      <c r="D162" s="6">
        <v>0</v>
      </c>
      <c r="E162" s="6">
        <v>0</v>
      </c>
      <c r="F162" s="7" t="str">
        <f t="shared" si="48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119</v>
      </c>
      <c r="D163" s="6">
        <v>5000</v>
      </c>
      <c r="E163" s="6">
        <v>5000</v>
      </c>
      <c r="F163" s="7">
        <f t="shared" si="48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44" t="s">
        <v>120</v>
      </c>
      <c r="B164" s="44"/>
      <c r="C164" s="44"/>
      <c r="D164" s="44">
        <f>SUM(D160:D163)</f>
        <v>10000</v>
      </c>
      <c r="E164" s="44">
        <f>SUM(E160:E163)</f>
        <v>10000</v>
      </c>
      <c r="F164" s="45">
        <f t="shared" si="48"/>
        <v>0</v>
      </c>
      <c r="G164" s="44">
        <f>SUM(G160:G163)</f>
        <v>11386</v>
      </c>
      <c r="H164" s="45">
        <f>IF(G164=0,"NA",(+D164-G164)/G164)</f>
        <v>-0.12172843843316354</v>
      </c>
      <c r="J164" s="44">
        <f>SUM(J160:J163)</f>
        <v>14200</v>
      </c>
      <c r="K164" s="44">
        <f>SUM(K160:K163)</f>
        <v>9166.74</v>
      </c>
      <c r="L164" s="45">
        <f>IF(K164=0,"NA",(+J164-K164)/K164)</f>
        <v>0.54907851646277739</v>
      </c>
      <c r="M164" s="19"/>
    </row>
    <row r="165" spans="1:13" ht="7.5" customHeight="1" x14ac:dyDescent="0.25">
      <c r="F165" s="12"/>
    </row>
    <row r="166" spans="1:13" x14ac:dyDescent="0.25">
      <c r="A166" s="46" t="s">
        <v>121</v>
      </c>
      <c r="B166" s="47"/>
      <c r="C166" s="47"/>
      <c r="D166" s="46">
        <f>+D82+D133+D156+D164+D31</f>
        <v>575326.56599999999</v>
      </c>
      <c r="E166" s="46">
        <f>+E82+E133+E156+E164+E31</f>
        <v>578306</v>
      </c>
      <c r="F166" s="48">
        <f t="shared" ref="F166:F167" si="49">IF(E166=0,"NA",(+D166-E166)/E166)</f>
        <v>-5.152002573032285E-3</v>
      </c>
      <c r="G166" s="46">
        <f>+G82+G133+G156+G164+G31</f>
        <v>564589</v>
      </c>
      <c r="H166" s="48">
        <f>IF(G166=0,"NA",(+D166-G166)/G166)</f>
        <v>1.9018376199323742E-2</v>
      </c>
      <c r="J166" s="46">
        <f>+J82+J133+J156+J164+J31</f>
        <v>533020.59</v>
      </c>
      <c r="K166" s="46">
        <f>+K82+K133+K156+K164+K31</f>
        <v>527848.47</v>
      </c>
      <c r="L166" s="48">
        <f>IF(K166=0,"NA",(+J166-K166)/K166)</f>
        <v>9.7984938745772927E-3</v>
      </c>
    </row>
    <row r="167" spans="1:13" x14ac:dyDescent="0.25">
      <c r="A167" s="46" t="s">
        <v>122</v>
      </c>
      <c r="B167" s="47"/>
      <c r="C167" s="47"/>
      <c r="D167" s="46">
        <f>+D22-D166</f>
        <v>0.4340000000083819</v>
      </c>
      <c r="E167" s="46">
        <f>+E22-E166</f>
        <v>694</v>
      </c>
      <c r="F167" s="48">
        <f t="shared" si="49"/>
        <v>-0.99937463976944041</v>
      </c>
      <c r="G167" s="46">
        <f>+G22-G166</f>
        <v>5663</v>
      </c>
      <c r="H167" s="48">
        <f>IF(G167=0,"NA",(+D167-G167)/G167)</f>
        <v>-0.99992336217552391</v>
      </c>
      <c r="J167" s="46">
        <f>+J22-J166</f>
        <v>545.29000000003725</v>
      </c>
      <c r="K167" s="46">
        <f>+K22-K166</f>
        <v>9496.6700000000419</v>
      </c>
      <c r="L167" s="48">
        <f>IF(K167=0,"NA",(+J167-K167)/K167)</f>
        <v>-0.94258092573501717</v>
      </c>
    </row>
    <row r="168" spans="1:13" x14ac:dyDescent="0.25">
      <c r="F168" s="12"/>
    </row>
    <row r="169" spans="1:13" x14ac:dyDescent="0.25">
      <c r="F169" s="12"/>
    </row>
    <row r="170" spans="1:13" x14ac:dyDescent="0.25">
      <c r="F170" s="12"/>
    </row>
    <row r="171" spans="1:13" x14ac:dyDescent="0.25">
      <c r="F171" s="12"/>
    </row>
    <row r="172" spans="1:13" x14ac:dyDescent="0.25">
      <c r="F172" s="12"/>
    </row>
    <row r="173" spans="1:13" x14ac:dyDescent="0.25">
      <c r="F173" s="12"/>
    </row>
    <row r="174" spans="1:13" x14ac:dyDescent="0.25">
      <c r="F174" s="12"/>
    </row>
    <row r="175" spans="1:13" x14ac:dyDescent="0.25">
      <c r="F175" s="12"/>
    </row>
    <row r="176" spans="1:13" x14ac:dyDescent="0.25">
      <c r="F176" s="12"/>
    </row>
    <row r="177" spans="6:6" x14ac:dyDescent="0.25">
      <c r="F177" s="12"/>
    </row>
    <row r="178" spans="6:6" x14ac:dyDescent="0.25">
      <c r="F178" s="12"/>
    </row>
    <row r="179" spans="6:6" x14ac:dyDescent="0.25">
      <c r="F179" s="12"/>
    </row>
    <row r="180" spans="6:6" x14ac:dyDescent="0.25">
      <c r="F180" s="12"/>
    </row>
    <row r="181" spans="6:6" x14ac:dyDescent="0.25">
      <c r="F181" s="12"/>
    </row>
    <row r="182" spans="6:6" x14ac:dyDescent="0.25">
      <c r="F182" s="12"/>
    </row>
    <row r="183" spans="6:6" x14ac:dyDescent="0.25">
      <c r="F183" s="12"/>
    </row>
    <row r="184" spans="6:6" x14ac:dyDescent="0.25">
      <c r="F184" s="12"/>
    </row>
    <row r="185" spans="6:6" x14ac:dyDescent="0.25">
      <c r="F185" s="12"/>
    </row>
    <row r="186" spans="6:6" x14ac:dyDescent="0.25">
      <c r="F186" s="12"/>
    </row>
    <row r="187" spans="6:6" x14ac:dyDescent="0.25">
      <c r="F187" s="12"/>
    </row>
    <row r="188" spans="6:6" x14ac:dyDescent="0.25">
      <c r="F188" s="12"/>
    </row>
    <row r="189" spans="6:6" x14ac:dyDescent="0.25">
      <c r="F189" s="12"/>
    </row>
  </sheetData>
  <sheetProtection password="DF1B" sheet="1" objects="1" scenarios="1"/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2011-12-07T18:40:08Z</cp:lastPrinted>
  <dcterms:created xsi:type="dcterms:W3CDTF">2011-12-01T18:07:46Z</dcterms:created>
  <dcterms:modified xsi:type="dcterms:W3CDTF">2011-12-07T19:20:26Z</dcterms:modified>
</cp:coreProperties>
</file>